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<sst xmlns="http://schemas.openxmlformats.org/spreadsheetml/2006/main" count="48" uniqueCount="46">
  <si>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Date:</t>
  </si>
  <si>
    <t>Desired Fuel Reserve in minutes</t>
  </si>
  <si>
    <t>Departure:</t>
  </si>
  <si>
    <t>Arrival:</t>
  </si>
  <si>
    <t>Wt. (lbs)</t>
  </si>
  <si>
    <t>Arm (In.)</t>
  </si>
  <si>
    <t>Mmt. (in.-lbs)</t>
  </si>
  <si>
    <t>Start, Taxi, RunUp (glns)</t>
  </si>
  <si>
    <t>Basic Empty Wt.</t>
  </si>
  <si>
    <t>Pilot &amp; Pax</t>
  </si>
  <si>
    <t>Fuel on Board (glns)</t>
  </si>
  <si>
    <t>Rear Seats</t>
  </si>
  <si>
    <t>Total Fuel Used (glns.)</t>
  </si>
  <si>
    <t>Baggage Area 1</t>
  </si>
  <si>
    <t>Max.:</t>
  </si>
  <si>
    <t>Total</t>
  </si>
  <si>
    <t>Fuel Reserve (glns.)</t>
  </si>
  <si>
    <t>Fwd.</t>
  </si>
  <si>
    <t>Aft.</t>
  </si>
  <si>
    <t>TakeOff CG.</t>
  </si>
  <si>
    <t>Climb Fuel Burn (GPH)</t>
  </si>
  <si>
    <t>Landing CG.</t>
  </si>
  <si>
    <t>Cruise Fuel Burn (GPH)</t>
  </si>
  <si>
    <t>Cruise Flight Time (Hrs.)</t>
  </si>
  <si>
    <t>Take Off Wt. (lbs)</t>
  </si>
  <si>
    <t>Take Off Wt.</t>
  </si>
  <si>
    <t>CG Envelope</t>
  </si>
  <si>
    <t>Normal Category</t>
  </si>
  <si>
    <t>Start, Taxi, Take Off, Climb</t>
  </si>
  <si>
    <t>Weight</t>
  </si>
  <si>
    <t>CG</t>
  </si>
  <si>
    <t>Landing Wt. (lbs)</t>
  </si>
  <si>
    <t>Landing Wt.</t>
  </si>
  <si>
    <t>Cessna 182 (C-182T)</t>
  </si>
  <si>
    <t>CGs are within the manufacturer's limits before every flight.</t>
  </si>
  <si>
    <t>It is the pilot's (PIC) responsibility to make sure all Weights and</t>
  </si>
  <si>
    <t>Time to Climb (minutes)</t>
  </si>
  <si>
    <t>Total Fuel Wt. (lbs)</t>
  </si>
  <si>
    <t>Zero Fuel Wt. (lbs)</t>
  </si>
  <si>
    <t>Trip Fuel (lbs)</t>
  </si>
  <si>
    <t>Fuel Wt. Per gallon (lbs)</t>
  </si>
  <si>
    <t>Max Take Off Wt. (lbs)</t>
  </si>
  <si>
    <t>Max. Landing Wt. (lbs)</t>
  </si>
  <si>
    <t>Fuel Reserve (minutes)</t>
  </si>
  <si>
    <t>Total Usable Fuel (glns)</t>
  </si>
  <si>
    <t>Baggage Area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</si>
</sst>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i/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5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24" borderId="0" xfId="0" applyFont="1" applyFill="1" applyAlignment="1" applyProtection="1">
      <alignment/>
      <protection hidden="1"/>
    </xf>
    <xf numFmtId="0" fontId="6" fillId="24" borderId="0" xfId="0" applyFont="1" applyFill="1" applyAlignment="1" applyProtection="1">
      <alignment vertical="center"/>
      <protection hidden="1"/>
    </xf>
    <xf numFmtId="0" fontId="4" fillId="25" borderId="10" xfId="0" applyFont="1" applyFill="1" applyBorder="1" applyAlignment="1" applyProtection="1">
      <alignment horizontal="left" vertical="center"/>
      <protection hidden="1"/>
    </xf>
    <xf numFmtId="0" fontId="6" fillId="25" borderId="11" xfId="0" applyFont="1" applyFill="1" applyBorder="1" applyAlignment="1" applyProtection="1">
      <alignment vertical="center"/>
      <protection hidden="1"/>
    </xf>
    <xf numFmtId="0" fontId="4" fillId="25" borderId="11" xfId="0" applyFont="1" applyFill="1" applyBorder="1" applyAlignment="1" applyProtection="1">
      <alignment vertical="center"/>
      <protection hidden="1"/>
    </xf>
    <xf numFmtId="2" fontId="6" fillId="25" borderId="12" xfId="0" applyNumberFormat="1" applyFont="1" applyFill="1" applyBorder="1" applyAlignment="1" applyProtection="1">
      <alignment vertical="center"/>
      <protection hidden="1" locked="0"/>
    </xf>
    <xf numFmtId="0" fontId="4" fillId="26" borderId="10" xfId="0" applyFont="1" applyFill="1" applyBorder="1" applyAlignment="1" applyProtection="1">
      <alignment vertical="center"/>
      <protection hidden="1"/>
    </xf>
    <xf numFmtId="0" fontId="6" fillId="26" borderId="11" xfId="0" applyFont="1" applyFill="1" applyBorder="1" applyAlignment="1" applyProtection="1">
      <alignment vertical="center"/>
      <protection hidden="1"/>
    </xf>
    <xf numFmtId="0" fontId="4" fillId="26" borderId="11" xfId="0" applyFont="1" applyFill="1" applyBorder="1" applyAlignment="1" applyProtection="1">
      <alignment vertical="center"/>
      <protection hidden="1"/>
    </xf>
    <xf numFmtId="2" fontId="6" fillId="26" borderId="12" xfId="0" applyNumberFormat="1" applyFont="1" applyFill="1" applyBorder="1" applyAlignment="1" applyProtection="1">
      <alignment vertical="center"/>
      <protection hidden="1"/>
    </xf>
    <xf numFmtId="0" fontId="4" fillId="24" borderId="12" xfId="0" applyFont="1" applyFill="1" applyBorder="1" applyAlignment="1" applyProtection="1">
      <alignment horizontal="center" vertical="center"/>
      <protection hidden="1"/>
    </xf>
    <xf numFmtId="1" fontId="6" fillId="24" borderId="12" xfId="0" applyNumberFormat="1" applyFont="1" applyFill="1" applyBorder="1" applyAlignment="1" applyProtection="1">
      <alignment vertical="center"/>
      <protection hidden="1"/>
    </xf>
    <xf numFmtId="2" fontId="6" fillId="24" borderId="12" xfId="0" applyNumberFormat="1" applyFont="1" applyFill="1" applyBorder="1" applyAlignment="1" applyProtection="1">
      <alignment vertical="center"/>
      <protection hidden="1"/>
    </xf>
    <xf numFmtId="1" fontId="6" fillId="25" borderId="12" xfId="0" applyNumberFormat="1" applyFont="1" applyFill="1" applyBorder="1" applyAlignment="1" applyProtection="1">
      <alignment vertical="center"/>
      <protection hidden="1" locked="0"/>
    </xf>
    <xf numFmtId="1" fontId="6" fillId="26" borderId="12" xfId="0" applyNumberFormat="1" applyFont="1" applyFill="1" applyBorder="1" applyAlignment="1" applyProtection="1">
      <alignment horizontal="right" vertical="center"/>
      <protection hidden="1"/>
    </xf>
    <xf numFmtId="0" fontId="4" fillId="26" borderId="13" xfId="0" applyFont="1" applyFill="1" applyBorder="1" applyAlignment="1" applyProtection="1">
      <alignment vertical="center"/>
      <protection hidden="1"/>
    </xf>
    <xf numFmtId="0" fontId="4" fillId="26" borderId="14" xfId="0" applyFont="1" applyFill="1" applyBorder="1" applyAlignment="1" applyProtection="1">
      <alignment vertical="center"/>
      <protection hidden="1"/>
    </xf>
    <xf numFmtId="164" fontId="6" fillId="26" borderId="12" xfId="0" applyNumberFormat="1" applyFont="1" applyFill="1" applyBorder="1" applyAlignment="1" applyProtection="1">
      <alignment horizontal="right" vertical="center"/>
      <protection hidden="1"/>
    </xf>
    <xf numFmtId="0" fontId="4" fillId="24" borderId="11" xfId="0" applyFont="1" applyFill="1" applyBorder="1" applyAlignment="1" applyProtection="1">
      <alignment horizontal="right" vertical="center"/>
      <protection hidden="1"/>
    </xf>
    <xf numFmtId="0" fontId="4" fillId="24" borderId="15" xfId="0" applyFont="1" applyFill="1" applyBorder="1" applyAlignment="1" applyProtection="1">
      <alignment vertical="center"/>
      <protection hidden="1"/>
    </xf>
    <xf numFmtId="1" fontId="6" fillId="26" borderId="12" xfId="0" applyNumberFormat="1" applyFont="1" applyFill="1" applyBorder="1" applyAlignment="1" applyProtection="1">
      <alignment vertical="center"/>
      <protection hidden="1"/>
    </xf>
    <xf numFmtId="0" fontId="4" fillId="24" borderId="0" xfId="0" applyFont="1" applyFill="1" applyBorder="1" applyAlignment="1" applyProtection="1">
      <alignment horizontal="left" vertical="center"/>
      <protection hidden="1"/>
    </xf>
    <xf numFmtId="1" fontId="6" fillId="24" borderId="12" xfId="0" applyNumberFormat="1" applyFont="1" applyFill="1" applyBorder="1" applyAlignment="1" applyProtection="1">
      <alignment horizontal="right" vertical="center"/>
      <protection hidden="1"/>
    </xf>
    <xf numFmtId="2" fontId="6" fillId="24" borderId="12" xfId="0" applyNumberFormat="1" applyFont="1" applyFill="1" applyBorder="1" applyAlignment="1" applyProtection="1">
      <alignment horizontal="right" vertical="center"/>
      <protection hidden="1"/>
    </xf>
    <xf numFmtId="0" fontId="4" fillId="24" borderId="0" xfId="0" applyFont="1" applyFill="1" applyBorder="1" applyAlignment="1" applyProtection="1">
      <alignment horizontal="center" vertical="center"/>
      <protection hidden="1"/>
    </xf>
    <xf numFmtId="0" fontId="4" fillId="24" borderId="10" xfId="0" applyFont="1" applyFill="1" applyBorder="1" applyAlignment="1" applyProtection="1">
      <alignment vertical="center"/>
      <protection hidden="1"/>
    </xf>
    <xf numFmtId="0" fontId="4" fillId="24" borderId="11" xfId="0" applyFont="1" applyFill="1" applyBorder="1" applyAlignment="1" applyProtection="1">
      <alignment vertical="center"/>
      <protection hidden="1"/>
    </xf>
    <xf numFmtId="0" fontId="4" fillId="24" borderId="16" xfId="0" applyFont="1" applyFill="1" applyBorder="1" applyAlignment="1" applyProtection="1">
      <alignment horizontal="right" vertical="center"/>
      <protection hidden="1"/>
    </xf>
    <xf numFmtId="165" fontId="6" fillId="26" borderId="12" xfId="0" applyNumberFormat="1" applyFont="1" applyFill="1" applyBorder="1" applyAlignment="1" applyProtection="1">
      <alignment horizontal="center" vertical="center"/>
      <protection hidden="1"/>
    </xf>
    <xf numFmtId="0" fontId="6" fillId="24" borderId="11" xfId="0" applyFont="1" applyFill="1" applyBorder="1" applyAlignment="1" applyProtection="1">
      <alignment vertical="center"/>
      <protection hidden="1"/>
    </xf>
    <xf numFmtId="2" fontId="6" fillId="24" borderId="0" xfId="0" applyNumberFormat="1" applyFont="1" applyFill="1" applyAlignment="1" applyProtection="1">
      <alignment vertical="center"/>
      <protection hidden="1"/>
    </xf>
    <xf numFmtId="165" fontId="6" fillId="25" borderId="12" xfId="0" applyNumberFormat="1" applyFont="1" applyFill="1" applyBorder="1" applyAlignment="1" applyProtection="1">
      <alignment vertical="center"/>
      <protection hidden="1" locked="0"/>
    </xf>
    <xf numFmtId="0" fontId="6" fillId="26" borderId="12" xfId="0" applyFont="1" applyFill="1" applyBorder="1" applyAlignment="1" applyProtection="1">
      <alignment horizontal="center" vertical="center"/>
      <protection hidden="1"/>
    </xf>
    <xf numFmtId="0" fontId="7" fillId="24" borderId="0" xfId="0" applyFont="1" applyFill="1" applyAlignment="1" applyProtection="1">
      <alignment vertical="center"/>
      <protection hidden="1"/>
    </xf>
    <xf numFmtId="0" fontId="8" fillId="24" borderId="14" xfId="0" applyFont="1" applyFill="1" applyBorder="1" applyAlignment="1" applyProtection="1">
      <alignment vertical="center"/>
      <protection hidden="1"/>
    </xf>
    <xf numFmtId="2" fontId="7" fillId="24" borderId="0" xfId="0" applyNumberFormat="1" applyFont="1" applyFill="1" applyAlignment="1" applyProtection="1">
      <alignment vertical="center"/>
      <protection hidden="1"/>
    </xf>
    <xf numFmtId="0" fontId="4" fillId="21" borderId="12" xfId="55" applyFont="1" applyFill="1" applyBorder="1" applyAlignment="1" applyProtection="1">
      <alignment horizontal="center" vertical="center"/>
      <protection hidden="1"/>
    </xf>
    <xf numFmtId="0" fontId="7" fillId="24" borderId="12" xfId="55" applyFont="1" applyFill="1" applyBorder="1" applyAlignment="1" applyProtection="1">
      <alignment vertical="center"/>
      <protection hidden="1"/>
    </xf>
    <xf numFmtId="165" fontId="7" fillId="24" borderId="12" xfId="55" applyNumberFormat="1" applyFont="1" applyFill="1" applyBorder="1" applyAlignment="1" applyProtection="1">
      <alignment vertical="center"/>
      <protection hidden="1"/>
    </xf>
    <xf numFmtId="0" fontId="9" fillId="24" borderId="0" xfId="0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2" fontId="3" fillId="24" borderId="0" xfId="0" applyNumberFormat="1" applyFont="1" applyFill="1" applyAlignment="1" applyProtection="1">
      <alignment vertical="center"/>
      <protection hidden="1"/>
    </xf>
    <xf numFmtId="0" fontId="4" fillId="24" borderId="12" xfId="0" applyFont="1" applyFill="1" applyBorder="1" applyAlignment="1" applyProtection="1">
      <alignment horizontal="left" vertical="center"/>
      <protection hidden="1"/>
    </xf>
    <xf numFmtId="2" fontId="6" fillId="24" borderId="12" xfId="0" applyNumberFormat="1" applyFont="1" applyFill="1" applyBorder="1" applyAlignment="1" applyProtection="1">
      <alignment horizontal="right" vertical="center"/>
      <protection hidden="1"/>
    </xf>
    <xf numFmtId="0" fontId="4" fillId="24" borderId="0" xfId="0" applyFont="1" applyFill="1" applyAlignment="1" applyProtection="1">
      <alignment horizontal="right" vertical="center"/>
      <protection hidden="1"/>
    </xf>
    <xf numFmtId="0" fontId="6" fillId="24" borderId="11" xfId="0" applyFont="1" applyFill="1" applyBorder="1" applyAlignment="1" applyProtection="1">
      <alignment horizontal="center" vertical="center"/>
      <protection hidden="1" locked="0"/>
    </xf>
    <xf numFmtId="0" fontId="4" fillId="24" borderId="12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horizontal="center" vertical="top"/>
      <protection hidden="1"/>
    </xf>
    <xf numFmtId="14" fontId="5" fillId="24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24" borderId="17" xfId="0" applyFont="1" applyFill="1" applyBorder="1" applyAlignment="1" applyProtection="1">
      <alignment horizontal="center" vertical="center"/>
      <protection hidden="1" locked="0"/>
    </xf>
    <xf numFmtId="0" fontId="4" fillId="24" borderId="10" xfId="0" applyFont="1" applyFill="1" applyBorder="1" applyAlignment="1" applyProtection="1">
      <alignment horizontal="left" vertical="center"/>
      <protection hidden="1"/>
    </xf>
    <xf numFmtId="0" fontId="4" fillId="24" borderId="11" xfId="0" applyFont="1" applyFill="1" applyBorder="1" applyAlignment="1" applyProtection="1">
      <alignment horizontal="left" vertical="center"/>
      <protection hidden="1"/>
    </xf>
    <xf numFmtId="0" fontId="6" fillId="26" borderId="12" xfId="0" applyFont="1" applyFill="1" applyBorder="1" applyAlignment="1" applyProtection="1">
      <alignment horizontal="center" vertical="center"/>
      <protection hidden="1"/>
    </xf>
    <xf numFmtId="0" fontId="4" fillId="21" borderId="10" xfId="55" applyFont="1" applyFill="1" applyBorder="1" applyAlignment="1" applyProtection="1">
      <alignment horizontal="center" vertical="center"/>
      <protection hidden="1"/>
    </xf>
    <xf numFmtId="0" fontId="4" fillId="21" borderId="15" xfId="55" applyFont="1" applyFill="1" applyBorder="1" applyAlignment="1" applyProtection="1">
      <alignment horizontal="center" vertical="center"/>
      <protection hidden="1"/>
    </xf>
    <xf numFmtId="0" fontId="8" fillId="21" borderId="10" xfId="55" applyFont="1" applyFill="1" applyBorder="1" applyAlignment="1" applyProtection="1">
      <alignment horizontal="center" vertical="center"/>
      <protection hidden="1"/>
    </xf>
    <xf numFmtId="0" fontId="8" fillId="21" borderId="15" xfId="55" applyFont="1" applyFill="1" applyBorder="1" applyAlignment="1" applyProtection="1">
      <alignment horizontal="center" vertical="center"/>
      <protection hidden="1"/>
    </xf>
    <xf numFmtId="0" fontId="4" fillId="24" borderId="10" xfId="0" applyFont="1" applyFill="1" applyBorder="1" applyAlignment="1" applyProtection="1">
      <alignment horizontal="center" vertical="center"/>
      <protection hidden="1"/>
    </xf>
    <xf numFmtId="0" fontId="4" fillId="24" borderId="1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-0.01075"/>
          <c:w val="0.62275"/>
          <c:h val="0.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Normal Category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Sheet1!$B$25:$B$31</c:f>
              <c:numCache>
                <c:ptCount val="7"/>
                <c:pt idx="0">
                  <c:v>33</c:v>
                </c:pt>
                <c:pt idx="1">
                  <c:v>33</c:v>
                </c:pt>
                <c:pt idx="2">
                  <c:v>36</c:v>
                </c:pt>
                <c:pt idx="3">
                  <c:v>40.8</c:v>
                </c:pt>
                <c:pt idx="4">
                  <c:v>46</c:v>
                </c:pt>
                <c:pt idx="5">
                  <c:v>46</c:v>
                </c:pt>
                <c:pt idx="6">
                  <c:v>33</c:v>
                </c:pt>
              </c:numCache>
            </c:numRef>
          </c:xVal>
          <c:yVal>
            <c:numRef>
              <c:f>Sheet1!$A$25:$A$31</c:f>
              <c:numCache>
                <c:ptCount val="7"/>
                <c:pt idx="0">
                  <c:v>1700</c:v>
                </c:pt>
                <c:pt idx="1">
                  <c:v>2250</c:v>
                </c:pt>
                <c:pt idx="2">
                  <c:v>2700</c:v>
                </c:pt>
                <c:pt idx="3">
                  <c:v>3100</c:v>
                </c:pt>
                <c:pt idx="4">
                  <c:v>3100</c:v>
                </c:pt>
                <c:pt idx="5">
                  <c:v>1700</c:v>
                </c:pt>
                <c:pt idx="6">
                  <c:v>1700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Sheet1!$J$20</c:f>
              <c:strCache>
                <c:ptCount val="1"/>
                <c:pt idx="0">
                  <c:v>Take Off Wt. (lbs)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Sheet1!$M$20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Sheet1!$L$20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Sheet1!$J$25</c:f>
              <c:strCache>
                <c:ptCount val="1"/>
                <c:pt idx="0">
                  <c:v>Landing Wt. (lbs)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Sheet1!$M$25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Sheet1!$L$25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9259422"/>
        <c:axId val="63572751"/>
      </c:scatterChart>
      <c:valAx>
        <c:axId val="59259422"/>
        <c:scaling>
          <c:orientation val="minMax"/>
          <c:max val="47"/>
          <c:min val="3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72751"/>
        <c:crosses val="autoZero"/>
        <c:crossBetween val="midCat"/>
        <c:dispUnits/>
        <c:majorUnit val="3"/>
        <c:minorUnit val="1"/>
      </c:valAx>
      <c:valAx>
        <c:axId val="63572751"/>
        <c:scaling>
          <c:orientation val="minMax"/>
          <c:max val="3200"/>
          <c:min val="1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59422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"/>
          <c:y val="0.22825"/>
          <c:w val="0.3795"/>
          <c:h val="0.5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20</xdr:row>
      <xdr:rowOff>57150</xdr:rowOff>
    </xdr:from>
    <xdr:to>
      <xdr:col>8</xdr:col>
      <xdr:colOff>180975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1076325" y="4191000"/>
        <a:ext cx="33242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Zeros="0" tabSelected="1" zoomScalePageLayoutView="0" workbookViewId="0" topLeftCell="A1">
      <selection activeCell="E19" sqref="E19"/>
    </sheetView>
  </sheetViews>
  <sheetFormatPr defaultColWidth="9.140625" defaultRowHeight="15"/>
  <cols>
    <col min="1" max="5" width="7.7109375" style="1" customWidth="1"/>
    <col min="6" max="6" width="10.421875" style="1" customWidth="1"/>
    <col min="7" max="8" width="7.140625" style="1" customWidth="1"/>
    <col min="9" max="9" width="3.7109375" style="1" customWidth="1"/>
    <col min="10" max="11" width="11.00390625" style="1" customWidth="1"/>
    <col min="12" max="13" width="14.00390625" style="1" customWidth="1"/>
    <col min="14" max="16384" width="9.140625" style="1" customWidth="1"/>
  </cols>
  <sheetData>
    <row r="1" spans="1:14" ht="40.5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45" t="s">
        <v>0</v>
      </c>
      <c r="B2" s="45"/>
      <c r="C2" s="49"/>
      <c r="D2" s="50"/>
      <c r="E2" s="2"/>
      <c r="F2" s="2"/>
      <c r="G2" s="2"/>
      <c r="H2" s="2"/>
      <c r="I2" s="2"/>
      <c r="J2" s="3" t="s">
        <v>1</v>
      </c>
      <c r="K2" s="4"/>
      <c r="L2" s="5"/>
      <c r="M2" s="4"/>
      <c r="N2" s="6"/>
    </row>
    <row r="3" spans="1:14" ht="15">
      <c r="A3" s="45" t="s">
        <v>2</v>
      </c>
      <c r="B3" s="45"/>
      <c r="C3" s="46"/>
      <c r="D3" s="46"/>
      <c r="E3" s="2"/>
      <c r="F3" s="2"/>
      <c r="G3" s="2"/>
      <c r="H3" s="2"/>
      <c r="I3" s="2"/>
      <c r="J3" s="7" t="s">
        <v>40</v>
      </c>
      <c r="K3" s="8"/>
      <c r="L3" s="9"/>
      <c r="M3" s="8"/>
      <c r="N3" s="10">
        <v>6</v>
      </c>
    </row>
    <row r="4" spans="1:14" ht="15">
      <c r="A4" s="45" t="s">
        <v>3</v>
      </c>
      <c r="B4" s="45"/>
      <c r="C4" s="46"/>
      <c r="D4" s="46"/>
      <c r="E4" s="2"/>
      <c r="F4" s="2"/>
      <c r="G4" s="2"/>
      <c r="H4" s="2"/>
      <c r="I4" s="2"/>
      <c r="J4" s="7" t="s">
        <v>41</v>
      </c>
      <c r="K4" s="8"/>
      <c r="L4" s="9"/>
      <c r="M4" s="8"/>
      <c r="N4" s="10">
        <v>3100</v>
      </c>
    </row>
    <row r="5" spans="1:14" ht="15">
      <c r="A5" s="2"/>
      <c r="B5" s="2"/>
      <c r="C5" s="2"/>
      <c r="D5" s="2"/>
      <c r="E5" s="2"/>
      <c r="F5" s="2"/>
      <c r="G5" s="2"/>
      <c r="H5" s="2"/>
      <c r="I5" s="2"/>
      <c r="J5" s="7" t="s">
        <v>42</v>
      </c>
      <c r="K5" s="8"/>
      <c r="L5" s="9"/>
      <c r="M5" s="8"/>
      <c r="N5" s="10">
        <v>2950</v>
      </c>
    </row>
    <row r="6" spans="1:14" ht="15">
      <c r="A6" s="2"/>
      <c r="B6" s="2"/>
      <c r="C6" s="2"/>
      <c r="D6" s="2"/>
      <c r="E6" s="11" t="s">
        <v>4</v>
      </c>
      <c r="F6" s="11" t="s">
        <v>5</v>
      </c>
      <c r="G6" s="47" t="s">
        <v>6</v>
      </c>
      <c r="H6" s="47"/>
      <c r="I6" s="2"/>
      <c r="J6" s="7" t="s">
        <v>7</v>
      </c>
      <c r="K6" s="9"/>
      <c r="L6" s="9"/>
      <c r="M6" s="8"/>
      <c r="N6" s="10">
        <v>2</v>
      </c>
    </row>
    <row r="7" spans="1:14" ht="15">
      <c r="A7" s="43" t="s">
        <v>8</v>
      </c>
      <c r="B7" s="43"/>
      <c r="C7" s="43"/>
      <c r="D7" s="43"/>
      <c r="E7" s="12">
        <v>2080</v>
      </c>
      <c r="F7" s="13">
        <v>36.44</v>
      </c>
      <c r="G7" s="44">
        <f>E7*F7</f>
        <v>75795.2</v>
      </c>
      <c r="H7" s="44"/>
      <c r="I7" s="2"/>
      <c r="J7" s="2"/>
      <c r="K7" s="2"/>
      <c r="L7" s="2"/>
      <c r="M7" s="2"/>
      <c r="N7" s="2"/>
    </row>
    <row r="8" spans="1:14" ht="15">
      <c r="A8" s="43" t="s">
        <v>9</v>
      </c>
      <c r="B8" s="43"/>
      <c r="C8" s="43"/>
      <c r="D8" s="43"/>
      <c r="E8" s="14"/>
      <c r="F8" s="13">
        <v>37</v>
      </c>
      <c r="G8" s="44">
        <f>E8*F8</f>
        <v>0</v>
      </c>
      <c r="H8" s="44"/>
      <c r="I8" s="2"/>
      <c r="J8" s="7" t="s">
        <v>10</v>
      </c>
      <c r="K8" s="9"/>
      <c r="L8" s="9"/>
      <c r="M8" s="9"/>
      <c r="N8" s="15">
        <f>IF(E14&gt;D14," ",E14)</f>
        <v>0</v>
      </c>
    </row>
    <row r="9" spans="1:14" ht="15">
      <c r="A9" s="43" t="s">
        <v>11</v>
      </c>
      <c r="B9" s="43"/>
      <c r="C9" s="43"/>
      <c r="D9" s="43"/>
      <c r="E9" s="14"/>
      <c r="F9" s="13">
        <v>74</v>
      </c>
      <c r="G9" s="44">
        <f>E9*F9</f>
        <v>0</v>
      </c>
      <c r="H9" s="44"/>
      <c r="I9" s="2"/>
      <c r="J9" s="16" t="s">
        <v>12</v>
      </c>
      <c r="K9" s="17"/>
      <c r="L9" s="17"/>
      <c r="M9" s="17"/>
      <c r="N9" s="18" t="str">
        <f>IF(E7=E12," ",IF(E14=""," ",IF(E14&gt;D14," ",IF(E17=0," ",IF(E20=0," ",((E16*E17)/60)+(E19*E20)+N6)))))</f>
        <v> </v>
      </c>
    </row>
    <row r="10" spans="1:14" ht="15">
      <c r="A10" s="51" t="s">
        <v>13</v>
      </c>
      <c r="B10" s="52"/>
      <c r="C10" s="19" t="s">
        <v>14</v>
      </c>
      <c r="D10" s="20">
        <v>120</v>
      </c>
      <c r="E10" s="14"/>
      <c r="F10" s="13">
        <v>97</v>
      </c>
      <c r="G10" s="44">
        <f>IF(E10&gt;D10,"***   ERROR   ***",E10*F10)</f>
        <v>0</v>
      </c>
      <c r="H10" s="44"/>
      <c r="I10" s="2"/>
      <c r="J10" s="53" t="str">
        <f>IF(E7=E12," ",IF(E14=""," ",IF(E14&gt;D14," ",IF(E17=0," ",IF(E20=0," ",IF(N9&lt;=N8,"Enough fuel for trip",IF(N9&gt;N8," XXXX FUEL STARVED XXXX ","Enough fuel for trip")))))))</f>
        <v> </v>
      </c>
      <c r="K10" s="53"/>
      <c r="L10" s="53"/>
      <c r="M10" s="53"/>
      <c r="N10" s="53"/>
    </row>
    <row r="11" spans="1:14" ht="15">
      <c r="A11" s="51" t="s">
        <v>45</v>
      </c>
      <c r="B11" s="52"/>
      <c r="C11" s="19" t="s">
        <v>14</v>
      </c>
      <c r="D11" s="20">
        <v>80</v>
      </c>
      <c r="E11" s="14"/>
      <c r="F11" s="13">
        <v>116</v>
      </c>
      <c r="G11" s="44">
        <f>IF(E11&gt;D11,"***   ERROR   ***",E11*F11)</f>
        <v>0</v>
      </c>
      <c r="H11" s="44"/>
      <c r="I11" s="2"/>
      <c r="J11" s="2"/>
      <c r="K11" s="2"/>
      <c r="L11" s="2"/>
      <c r="M11" s="2"/>
      <c r="N11" s="2"/>
    </row>
    <row r="12" spans="1:14" ht="15">
      <c r="A12" s="22"/>
      <c r="B12" s="22"/>
      <c r="C12" s="58" t="s">
        <v>15</v>
      </c>
      <c r="D12" s="59"/>
      <c r="E12" s="23">
        <f>SUM(E7:E11)</f>
        <v>2080</v>
      </c>
      <c r="F12" s="24">
        <f>G12/E12</f>
        <v>36.44</v>
      </c>
      <c r="G12" s="44">
        <f>SUM(G7:H11)</f>
        <v>75795.2</v>
      </c>
      <c r="H12" s="44"/>
      <c r="I12" s="2"/>
      <c r="J12" s="7" t="s">
        <v>16</v>
      </c>
      <c r="K12" s="9"/>
      <c r="L12" s="9"/>
      <c r="M12" s="9"/>
      <c r="N12" s="21" t="str">
        <f>IF(E7=E12," ",IF(E14=""," ",IF(E14&gt;D14," ",IF(E17=0," ",IF(E20=0," ",IF(N9&gt;N8,"FUEL STARVED",(N8-N9)))))))</f>
        <v> </v>
      </c>
    </row>
    <row r="13" spans="1:14" ht="15">
      <c r="A13" s="2"/>
      <c r="B13" s="2"/>
      <c r="C13" s="2"/>
      <c r="D13" s="2"/>
      <c r="E13" s="25"/>
      <c r="F13" s="2"/>
      <c r="G13" s="2"/>
      <c r="H13" s="2"/>
      <c r="I13" s="2"/>
      <c r="J13" s="16" t="s">
        <v>43</v>
      </c>
      <c r="K13" s="17"/>
      <c r="L13" s="17"/>
      <c r="M13" s="17"/>
      <c r="N13" s="21" t="str">
        <f>IF(E7=E12," ",IF(E14=""," ",IF(E14&gt;D14," ",IF(E17=0," ",IF(E20=0," ",IF(N9&gt;N8,"FUEL STARVED",((N12/E19)*60)))))))</f>
        <v> </v>
      </c>
    </row>
    <row r="14" spans="1:14" ht="15">
      <c r="A14" s="26" t="s">
        <v>44</v>
      </c>
      <c r="B14" s="27"/>
      <c r="C14" s="19" t="s">
        <v>14</v>
      </c>
      <c r="D14" s="20">
        <v>87</v>
      </c>
      <c r="E14" s="14"/>
      <c r="F14" s="2"/>
      <c r="G14" s="11" t="s">
        <v>17</v>
      </c>
      <c r="H14" s="11" t="s">
        <v>18</v>
      </c>
      <c r="I14" s="2"/>
      <c r="J14" s="53" t="str">
        <f>IF(E14=""," ",IF(E14&gt;D14," ",IF(E17=0," ",IF(E20=0," ",IF(N9&gt;N8," XXXX FUEL STARVED XXXX ",IF(N13&lt;N2," XXXX FUEL RESERVE VIOLATION XXXX ","Enough Reserves"))))))</f>
        <v> </v>
      </c>
      <c r="K14" s="53"/>
      <c r="L14" s="53"/>
      <c r="M14" s="53"/>
      <c r="N14" s="53"/>
    </row>
    <row r="15" spans="1:14" ht="15">
      <c r="A15" s="2"/>
      <c r="B15" s="2"/>
      <c r="C15" s="2"/>
      <c r="D15" s="2"/>
      <c r="E15" s="2"/>
      <c r="F15" s="28" t="s">
        <v>19</v>
      </c>
      <c r="G15" s="29" t="str">
        <f>IF(E7=E12," ",IF(E14=""," ",IF(E14&gt;D14," ",LOOKUP($L$20,{2080,2000,2100,2200,2250,2300,2350,2400,2450,2500,2550,2600,2650,2700,2750,2800,2850,2900,2950,3000,3050,3100},{33,33,33,33,33,33.4,33.7,34,34.3,34.6,35,35.4,35.7,36,36.5,37.1,38,38.5,39,39.5,40.5,40.8}))))</f>
        <v> </v>
      </c>
      <c r="H15" s="29" t="str">
        <f>IF(E7=E12," ",IF(E14=""," ",IF(E14&gt;D14," ",LOOKUP($L$20,{1700,3100},{46,46}))))</f>
        <v> </v>
      </c>
      <c r="I15" s="2"/>
      <c r="J15" s="2"/>
      <c r="K15" s="2"/>
      <c r="L15" s="2"/>
      <c r="M15" s="2"/>
      <c r="N15" s="2"/>
    </row>
    <row r="16" spans="1:14" ht="15">
      <c r="A16" s="43" t="s">
        <v>20</v>
      </c>
      <c r="B16" s="43"/>
      <c r="C16" s="43"/>
      <c r="D16" s="43"/>
      <c r="E16" s="14"/>
      <c r="F16" s="28" t="s">
        <v>21</v>
      </c>
      <c r="G16" s="29" t="str">
        <f>IF(E7=E12," ",IF(E14=""," ",IF(E14&gt;D14," ",IF(E17=""," ",IF(E20=""," ",LOOKUP($L$25,{2080,2000,2100,2200,2250,2300,2350,2400,2450,2500,2550,2600,2650,2700,2750,2800,2850,2900,2950,3000,3050,3100},{33,33,33,33,33,33.4,33.7,34,34.3,34.6,35,35.4,35.7,36,36.5,37.1,38,38.5,39,39.5,40.5,40.8}))))))</f>
        <v> </v>
      </c>
      <c r="H16" s="29" t="str">
        <f>IF(E7=E12," ",IF(E14=""," ",IF(E14&gt;D14," ",IF(E17=""," ",IF(E20=""," ",LOOKUP($L$25,{1700,3100},{46,46}))))))</f>
        <v> </v>
      </c>
      <c r="I16" s="2"/>
      <c r="J16" s="26" t="s">
        <v>37</v>
      </c>
      <c r="K16" s="30"/>
      <c r="L16" s="23" t="str">
        <f>IF(E14=""," ",IF(E14&gt;D14,"FUEL QTY ERROR",E14*N3))</f>
        <v> </v>
      </c>
      <c r="M16" s="24">
        <v>46.5</v>
      </c>
      <c r="N16" s="24" t="str">
        <f>IF(E14=""," ",IF(E14&gt;D14,"FUEL QTY ERROR",L16*M16))</f>
        <v> </v>
      </c>
    </row>
    <row r="17" spans="1:14" ht="15">
      <c r="A17" s="43" t="s">
        <v>36</v>
      </c>
      <c r="B17" s="43"/>
      <c r="C17" s="43"/>
      <c r="D17" s="43"/>
      <c r="E17" s="14"/>
      <c r="F17" s="2"/>
      <c r="G17" s="2"/>
      <c r="H17" s="31"/>
      <c r="I17" s="2"/>
      <c r="J17" s="2"/>
      <c r="K17" s="2"/>
      <c r="L17" s="2"/>
      <c r="M17" s="2"/>
      <c r="N17" s="2"/>
    </row>
    <row r="18" spans="1:14" ht="15">
      <c r="A18" s="2"/>
      <c r="B18" s="2"/>
      <c r="C18" s="2"/>
      <c r="D18" s="2"/>
      <c r="E18" s="2"/>
      <c r="F18" s="2"/>
      <c r="G18" s="2"/>
      <c r="H18" s="31"/>
      <c r="I18" s="2"/>
      <c r="J18" s="7" t="s">
        <v>38</v>
      </c>
      <c r="K18" s="8"/>
      <c r="L18" s="21" t="str">
        <f>IF(E7=E12," ",IF(E14&gt;D14,"FUEL QTY ERROR",SUM(E7:E11)))</f>
        <v> </v>
      </c>
      <c r="M18" s="10" t="str">
        <f>IF(E7=E12," ",IF(E14&gt;D14,"FUEL QTY ERROR",N18/L18))</f>
        <v> </v>
      </c>
      <c r="N18" s="10" t="str">
        <f>IF(E7=E12," ",IF(E14&gt;D14,"FUEL QTY ERROR",SUM(G4:G11)))</f>
        <v> </v>
      </c>
    </row>
    <row r="19" spans="1:14" ht="15">
      <c r="A19" s="43" t="s">
        <v>22</v>
      </c>
      <c r="B19" s="43"/>
      <c r="C19" s="43"/>
      <c r="D19" s="43"/>
      <c r="E19" s="14"/>
      <c r="F19" s="2"/>
      <c r="G19" s="2"/>
      <c r="H19" s="31"/>
      <c r="I19" s="2"/>
      <c r="J19" s="2"/>
      <c r="K19" s="2"/>
      <c r="L19" s="2"/>
      <c r="M19" s="2"/>
      <c r="N19" s="2"/>
    </row>
    <row r="20" spans="1:14" ht="15">
      <c r="A20" s="43" t="s">
        <v>23</v>
      </c>
      <c r="B20" s="43"/>
      <c r="C20" s="43"/>
      <c r="D20" s="43"/>
      <c r="E20" s="32"/>
      <c r="F20" s="2"/>
      <c r="G20" s="2"/>
      <c r="H20" s="31"/>
      <c r="I20" s="2"/>
      <c r="J20" s="26" t="s">
        <v>24</v>
      </c>
      <c r="K20" s="30"/>
      <c r="L20" s="12" t="str">
        <f>IF(E7=E12," ",IF(E14=""," ",IF(E14&gt;D14," ",(L16+L18)-(N6*N3))))</f>
        <v> </v>
      </c>
      <c r="M20" s="13" t="str">
        <f>IF(E7=E12," ",IF(E14=""," ",IF(E14&gt;D14," ",N20/L20)))</f>
        <v> </v>
      </c>
      <c r="N20" s="13" t="str">
        <f>IF(E7=E12," ",IF(E14=""," ",IF(E14&gt;D14," ",N18+N16)))</f>
        <v> </v>
      </c>
    </row>
    <row r="21" spans="1:14" ht="15">
      <c r="A21" s="34"/>
      <c r="B21" s="34"/>
      <c r="C21" s="35"/>
      <c r="D21" s="35"/>
      <c r="E21" s="34"/>
      <c r="F21" s="34"/>
      <c r="G21" s="34"/>
      <c r="H21" s="36"/>
      <c r="I21" s="2"/>
      <c r="J21" s="7" t="s">
        <v>25</v>
      </c>
      <c r="K21" s="8"/>
      <c r="L21" s="33" t="str">
        <f>IF(E7=E12," ",IF(E14=""," ",IF(E14&gt;D14," ",IF(L20&gt;N4,"OVER WEIGHT","Within limits"))))</f>
        <v> </v>
      </c>
      <c r="M21" s="33" t="str">
        <f>IF(E7=E12," ",IF(E14=""," ",IF(E14&gt;D14," ",IF(M20&lt;G15,"CG OUT TOO FWD",IF(M20&gt;H15,"CG OUT TOO AFT","CG Within Limits")))))</f>
        <v> </v>
      </c>
      <c r="N21" s="2"/>
    </row>
    <row r="22" spans="1:14" ht="15">
      <c r="A22" s="56" t="s">
        <v>26</v>
      </c>
      <c r="B22" s="57"/>
      <c r="C22" s="34"/>
      <c r="D22" s="34"/>
      <c r="E22" s="34"/>
      <c r="F22" s="34"/>
      <c r="G22" s="34"/>
      <c r="H22" s="34"/>
      <c r="I22" s="2"/>
      <c r="J22" s="2"/>
      <c r="K22" s="2"/>
      <c r="L22" s="2"/>
      <c r="M22" s="2"/>
      <c r="N22" s="2"/>
    </row>
    <row r="23" spans="1:14" ht="15">
      <c r="A23" s="54" t="s">
        <v>27</v>
      </c>
      <c r="B23" s="55"/>
      <c r="C23" s="34"/>
      <c r="D23" s="34"/>
      <c r="E23" s="34"/>
      <c r="F23" s="34"/>
      <c r="G23" s="34"/>
      <c r="H23" s="34"/>
      <c r="I23" s="2"/>
      <c r="J23" s="26" t="s">
        <v>28</v>
      </c>
      <c r="K23" s="30"/>
      <c r="L23" s="12" t="str">
        <f>IF(E7=E12," ",IF(E14=""," ",IF(E14&gt;D14," ",IF(E16=0," ",IF(E17=0," ",IF(E19=0," ",IF(E20=0," ",(((E16*E17)/60)*N3)+(N6*N3))))))))</f>
        <v> </v>
      </c>
      <c r="M23" s="13">
        <v>46.5</v>
      </c>
      <c r="N23" s="13" t="str">
        <f>IF(E7=E12," ",IF(E14=""," ",IF(E14&gt;D14," ",IF(E16=0," ",IF(E17=0," ",IF(E19=0," ",IF(E20=0," ",IF(L23&gt;0,L23*M23," "))))))))</f>
        <v> </v>
      </c>
    </row>
    <row r="24" spans="1:14" ht="15">
      <c r="A24" s="37" t="s">
        <v>29</v>
      </c>
      <c r="B24" s="37" t="s">
        <v>30</v>
      </c>
      <c r="C24" s="34"/>
      <c r="D24" s="34"/>
      <c r="E24" s="34"/>
      <c r="F24" s="34"/>
      <c r="G24" s="34"/>
      <c r="H24" s="34"/>
      <c r="I24" s="2"/>
      <c r="J24" s="26" t="s">
        <v>39</v>
      </c>
      <c r="K24" s="30"/>
      <c r="L24" s="12" t="str">
        <f>IF(E7=E12," ",IF(E14=""," ",IF(E14&gt;D14," ",IF(E16=0," ",IF(E17=0," ",IF(E19=0," ",IF(E20=0," ",((E19*E20)*N3))))))))</f>
        <v> </v>
      </c>
      <c r="M24" s="13">
        <v>46.5</v>
      </c>
      <c r="N24" s="13" t="str">
        <f>IF(E7=E12," ",IF(E14=""," ",IF(E14&gt;D14," ",IF(E16=0," ",IF(E17=0," ",IF(E19=0," ",IF(E20=0," ",L24*M24)))))))</f>
        <v> </v>
      </c>
    </row>
    <row r="25" spans="1:14" ht="15">
      <c r="A25" s="38">
        <v>1700</v>
      </c>
      <c r="B25" s="39">
        <v>33</v>
      </c>
      <c r="C25" s="34"/>
      <c r="D25" s="34"/>
      <c r="E25" s="34"/>
      <c r="F25" s="34"/>
      <c r="G25" s="34"/>
      <c r="H25" s="34"/>
      <c r="I25" s="2"/>
      <c r="J25" s="26" t="s">
        <v>31</v>
      </c>
      <c r="K25" s="30"/>
      <c r="L25" s="12" t="str">
        <f>IF(E7=E12," ",IF(E14=""," ",IF(E14&gt;D14," ",IF(E16=0," ",IF(E17=0," ",IF(E19=0," ",IF(E20=0," ",IF(L23&gt;0,L20-(L23+L24)," "))))))))</f>
        <v> </v>
      </c>
      <c r="M25" s="13" t="str">
        <f>IF(E7=E12," ",IF(E14=""," ",IF(E14&gt;D14," ",IF(E16=0," ",IF(E17=0," ",IF(E19=0," ",IF(E20=0," ",N25/L25)))))))</f>
        <v> </v>
      </c>
      <c r="N25" s="13" t="str">
        <f>IF(E7=E12," ",IF(E14=""," ",IF(E14&gt;D14," ",IF(E16=0," ",IF(E17=0," ",IF(E19=0," ",IF(E20=0," ",N20-(N23+N24))))))))</f>
        <v> </v>
      </c>
    </row>
    <row r="26" spans="1:14" ht="15">
      <c r="A26" s="38">
        <v>2250</v>
      </c>
      <c r="B26" s="39">
        <v>33</v>
      </c>
      <c r="C26" s="34"/>
      <c r="D26" s="34"/>
      <c r="E26" s="34"/>
      <c r="F26" s="34"/>
      <c r="G26" s="34"/>
      <c r="H26" s="34"/>
      <c r="I26" s="2"/>
      <c r="J26" s="7" t="s">
        <v>32</v>
      </c>
      <c r="K26" s="8"/>
      <c r="L26" s="33" t="str">
        <f>IF(E7=E12," ",IF(E14=""," ",IF(E14&gt;D14," ",IF(E17=""," ",IF(E20=""," ",IF(N9&gt;N8," FUEL STARVED ",IF(L25&gt;N5,"OVER WEIGHT",IF(L25&lt;E7," ","Within limits"))))))))</f>
        <v> </v>
      </c>
      <c r="M26" s="33" t="str">
        <f>IF(E7=E12," ",IF(E14=""," ",IF(E14&gt;D14," ",IF(E17=""," ",IF(E20=""," ",IF(M25&gt;H16,"CG OUT TOO AFT",IF(M25&lt;G16,"CG OUT TOO FWD","CG Within Limits")))))))</f>
        <v> </v>
      </c>
      <c r="N26" s="2"/>
    </row>
    <row r="27" spans="1:14" ht="15">
      <c r="A27" s="38">
        <v>2700</v>
      </c>
      <c r="B27" s="39">
        <v>36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38">
        <v>3100</v>
      </c>
      <c r="B28" s="39">
        <v>40.8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38">
        <v>3100</v>
      </c>
      <c r="B29" s="39">
        <v>46</v>
      </c>
      <c r="C29" s="2"/>
      <c r="D29" s="2"/>
      <c r="E29" s="2"/>
      <c r="F29" s="31"/>
      <c r="G29" s="2"/>
      <c r="H29" s="2"/>
      <c r="I29" s="2"/>
      <c r="J29" s="40" t="s">
        <v>35</v>
      </c>
      <c r="K29" s="2"/>
      <c r="L29" s="2"/>
      <c r="M29" s="2"/>
      <c r="N29" s="2"/>
    </row>
    <row r="30" spans="1:14" ht="15">
      <c r="A30" s="38">
        <v>1700</v>
      </c>
      <c r="B30" s="39">
        <v>46</v>
      </c>
      <c r="C30" s="2"/>
      <c r="D30" s="2"/>
      <c r="E30" s="2"/>
      <c r="F30" s="31"/>
      <c r="G30" s="2"/>
      <c r="H30" s="2"/>
      <c r="I30" s="2"/>
      <c r="J30" s="40" t="s">
        <v>34</v>
      </c>
      <c r="K30" s="2"/>
      <c r="L30" s="2"/>
      <c r="M30" s="2"/>
      <c r="N30" s="2"/>
    </row>
    <row r="31" spans="1:14" ht="15">
      <c r="A31" s="38">
        <v>1700</v>
      </c>
      <c r="B31" s="39">
        <v>33</v>
      </c>
      <c r="C31" s="41"/>
      <c r="D31" s="41"/>
      <c r="E31" s="41"/>
      <c r="F31" s="42"/>
      <c r="G31" s="41"/>
      <c r="H31" s="41"/>
      <c r="I31" s="41"/>
      <c r="J31" s="41"/>
      <c r="K31" s="41"/>
      <c r="L31" s="41"/>
      <c r="M31" s="41"/>
      <c r="N31" s="41"/>
    </row>
    <row r="32" spans="1:14" ht="15">
      <c r="A32" s="41"/>
      <c r="B32" s="41"/>
      <c r="C32" s="41"/>
      <c r="D32" s="41"/>
      <c r="E32" s="41"/>
      <c r="F32" s="42"/>
      <c r="G32" s="41"/>
      <c r="H32" s="41"/>
      <c r="I32" s="41"/>
      <c r="J32" s="41"/>
      <c r="K32" s="41"/>
      <c r="L32" s="41"/>
      <c r="M32" s="41"/>
      <c r="N32" s="41"/>
    </row>
    <row r="33" spans="1:14" ht="15">
      <c r="A33" s="41"/>
      <c r="B33" s="41"/>
      <c r="C33" s="41"/>
      <c r="D33" s="41"/>
      <c r="E33" s="41"/>
      <c r="F33" s="42"/>
      <c r="G33" s="41"/>
      <c r="H33" s="41"/>
      <c r="I33" s="41"/>
      <c r="J33" s="41"/>
      <c r="K33" s="41"/>
      <c r="L33" s="41"/>
      <c r="M33" s="41"/>
      <c r="N33" s="41"/>
    </row>
    <row r="34" spans="1:14" ht="15">
      <c r="A34" s="41"/>
      <c r="B34" s="41"/>
      <c r="C34" s="41"/>
      <c r="D34" s="41"/>
      <c r="E34" s="41"/>
      <c r="F34" s="41"/>
      <c r="G34" s="41"/>
      <c r="H34" s="42"/>
      <c r="I34" s="41"/>
      <c r="J34" s="41"/>
      <c r="K34" s="41"/>
      <c r="L34" s="41"/>
      <c r="M34" s="41"/>
      <c r="N34" s="41"/>
    </row>
    <row r="35" spans="1:14" ht="15">
      <c r="A35" s="41"/>
      <c r="B35" s="41"/>
      <c r="C35" s="41"/>
      <c r="D35" s="41"/>
      <c r="E35" s="41"/>
      <c r="F35" s="41"/>
      <c r="G35" s="41"/>
      <c r="H35" s="42"/>
      <c r="I35" s="41"/>
      <c r="J35" s="41"/>
      <c r="K35" s="41"/>
      <c r="L35" s="41"/>
      <c r="M35" s="41"/>
      <c r="N35" s="41"/>
    </row>
    <row r="36" spans="1:14" ht="15">
      <c r="A36" s="41"/>
      <c r="B36" s="41"/>
      <c r="C36" s="41"/>
      <c r="D36" s="41"/>
      <c r="E36" s="41"/>
      <c r="F36" s="41"/>
      <c r="G36" s="41"/>
      <c r="H36" s="42"/>
      <c r="I36" s="41"/>
      <c r="J36" s="41"/>
      <c r="K36" s="41"/>
      <c r="L36" s="41"/>
      <c r="M36" s="41"/>
      <c r="N36" s="41"/>
    </row>
    <row r="37" spans="1:2" ht="15">
      <c r="A37" s="41"/>
      <c r="B37" s="41"/>
    </row>
  </sheetData>
  <sheetProtection password="ED6D" sheet="1" objects="1" scenarios="1" selectLockedCells="1"/>
  <protectedRanges>
    <protectedRange password="CA01" sqref="N4:N5" name="Range1"/>
  </protectedRanges>
  <mergeCells count="28">
    <mergeCell ref="G12:H12"/>
    <mergeCell ref="A23:B23"/>
    <mergeCell ref="A11:B11"/>
    <mergeCell ref="G11:H11"/>
    <mergeCell ref="J14:N14"/>
    <mergeCell ref="A16:D16"/>
    <mergeCell ref="A17:D17"/>
    <mergeCell ref="A19:D19"/>
    <mergeCell ref="A20:D20"/>
    <mergeCell ref="A22:B22"/>
    <mergeCell ref="C12:D12"/>
    <mergeCell ref="A10:B10"/>
    <mergeCell ref="G10:H10"/>
    <mergeCell ref="J10:N10"/>
    <mergeCell ref="A9:D9"/>
    <mergeCell ref="G9:H9"/>
    <mergeCell ref="A1:N1"/>
    <mergeCell ref="A2:B2"/>
    <mergeCell ref="C2:D2"/>
    <mergeCell ref="A3:B3"/>
    <mergeCell ref="C3:D3"/>
    <mergeCell ref="A8:D8"/>
    <mergeCell ref="G8:H8"/>
    <mergeCell ref="A4:B4"/>
    <mergeCell ref="C4:D4"/>
    <mergeCell ref="G6:H6"/>
    <mergeCell ref="A7:D7"/>
    <mergeCell ref="G7:H7"/>
  </mergeCells>
  <printOptions/>
  <pageMargins left="0.7" right="0.45" top="0.75" bottom="0.7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marmis2812</dc:creator>
  <cp:keywords/>
  <dc:description/>
  <cp:lastModifiedBy>Dave Simpson</cp:lastModifiedBy>
  <cp:lastPrinted>2009-12-11T05:16:50Z</cp:lastPrinted>
  <dcterms:created xsi:type="dcterms:W3CDTF">2009-12-11T03:47:45Z</dcterms:created>
  <dcterms:modified xsi:type="dcterms:W3CDTF">2009-12-11T19:23:46Z</dcterms:modified>
  <cp:category/>
  <cp:version/>
  <cp:contentType/>
  <cp:contentStatus/>
</cp:coreProperties>
</file>